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<sst xmlns="http://schemas.openxmlformats.org/spreadsheetml/2006/main" count="816" uniqueCount="226">
  <si>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</si>
  <si>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</si>
  <si>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</si>
  <si>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</si>
  <si>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</si>
  <si>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</si>
  <si>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</si>
  <si>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</si>
  <si>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</si>
  <si>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</si>
  <si>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</si>
  <si>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</si>
  <si>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</si>
  <si>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</si>
  <si>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</si>
  <si>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</si>
  <si>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</si>
  <si>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</si>
  <si>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</si>
  <si>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</si>
  <si>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</si>
  <si>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</si>
  <si>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</si>
  <si>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</si>
  <si>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</si>
  <si>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</si>
  <si>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</si>
  <si>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</si>
  <si>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</si>
  <si>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</si>
  <si>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</si>
  <si>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</si>
  <si>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</si>
  <si>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</si>
  <si>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</si>
  <si>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</si>
  <si>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</si>
  <si>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</si>
  <si>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</si>
  <si>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</si>
  <si>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</si>
  <si>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</si>
  <si>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</si>
  <si>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</si>
  <si>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</si>
  <si>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</si>
  <si>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</si>
  <si>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</si>
  <si>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</si>
  <si>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</si>
  <si>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</si>
  <si>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</si>
  <si>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</si>
  <si>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</si>
  <si>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</si>
  <si>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</si>
  <si>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</si>
  <si>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</si>
  <si>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</si>
  <si>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</si>
  <si>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</si>
  <si>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</si>
  <si>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</si>
  <si>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</si>
  <si>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</si>
  <si>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</si>
  <si>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</si>
  <si>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</si>
  <si>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</si>
  <si>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</si>
  <si>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</si>
  <si>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</si>
  <si>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</si>
  <si>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</si>
  <si>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</si>
  <si>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</si>
  <si>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</si>
  <si>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</si>
  <si>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</si>
  <si>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</si>
  <si>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</si>
  <si>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</si>
  <si>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</si>
  <si>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</si>
  <si>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</si>
  <si>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</si>
  <si>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</si>
  <si>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</si>
  <si>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</si>
  <si>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</si>
  <si>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</si>
  <si>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</si>
  <si>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</si>
  <si>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</si>
  <si>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</si>
  <si>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</si>
  <si>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</si>
  <si>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</si>
  <si>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</si>
  <si>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</si>
  <si>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</si>
  <si>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</si>
  <si>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</si>
  <si>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</si>
  <si>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</si>
  <si>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</si>
  <si>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</si>
  <si>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</si>
  <si>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</si>
  <si>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</si>
  <si>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</si>
  <si>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</si>
  <si>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</si>
  <si>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</si>
  <si>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</si>
  <si>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</si>
  <si>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</si>
  <si>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</si>
  <si>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</si>
  <si>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</si>
  <si>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</si>
  <si>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</si>
  <si>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</si>
  <si>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</si>
  <si>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</si>
  <si>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</si>
  <si>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</si>
  <si>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</si>
  <si>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</si>
  <si>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</si>
  <si>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</si>
  <si>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</si>
  <si>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</si>
  <si>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</si>
  <si>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</si>
  <si>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</si>
  <si>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</si>
  <si>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</si>
  <si>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</si>
  <si>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</si>
  <si>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</si>
  <si>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</si>
  <si>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</si>
  <si>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</si>
  <si>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</si>
  <si>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</si>
  <si>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</si>
  <si>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</si>
  <si>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</si>
  <si>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</si>
  <si>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</si>
  <si>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</si>
  <si>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</si>
  <si>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</si>
  <si>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</si>
  <si>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</si>
  <si>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</si>
  <si>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</si>
  <si>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</si>
  <si>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</si>
  <si>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</si>
  <si>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</si>
  <si>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</si>
  <si>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</si>
  <si>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</si>
  <si>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</si>
  <si>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</si>
  <si>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</si>
  <si>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</si>
  <si>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</si>
  <si>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</si>
  <si>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</si>
  <si>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</si>
  <si>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</si>
  <si>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</si>
  <si>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</si>
  <si>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</si>
  <si>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</si>
  <si>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</si>
  <si>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</si>
  <si>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</si>
  <si>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</si>
  <si>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</si>
  <si>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</si>
  <si>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</si>
  <si>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</si>
  <si>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</si>
  <si>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</si>
  <si>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</si>
  <si>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</si>
  <si>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</si>
  <si>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</si>
  <si>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</si>
  <si>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</si>
  <si>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</si>
  <si>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</si>
  <si>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</si>
  <si>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</si>
  <si>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</si>
  <si>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</si>
  <si>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</si>
  <si>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</si>
  <si>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</si>
  <si>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</si>
  <si>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</si>
  <si>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</si>
  <si>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</si>
  <si>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</si>
  <si>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</si>
  <si>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</si>
  <si>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</si>
  <si>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</si>
  <si>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</si>
  <si>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</si>
  <si>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</si>
  <si>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</si>
  <si>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</si>
  <si>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</si>
  <si>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</si>
  <si>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</si>
  <si>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</si>
  <si>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</si>
  <si>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</si>
  <si>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</si>
  <si>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</si>
  <si>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10.04.14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</si>
</sst>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9" xfId="22" applyFont="1" applyFill="1" applyBorder="1" applyAlignment="1" applyProtection="1">
      <alignment horizont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9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9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9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9" fontId="7" fillId="0" borderId="10" xfId="22" applyFont="1" applyFill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116993824.79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103168602.83000001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3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37" sqref="M13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221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217</v>
      </c>
      <c r="H4" s="177" t="s">
        <v>218</v>
      </c>
      <c r="I4" s="211" t="s">
        <v>188</v>
      </c>
      <c r="J4" s="197" t="s">
        <v>189</v>
      </c>
      <c r="K4" s="201" t="s">
        <v>219</v>
      </c>
      <c r="L4" s="202"/>
      <c r="M4" s="214"/>
      <c r="N4" s="168" t="s">
        <v>225</v>
      </c>
      <c r="O4" s="211" t="s">
        <v>136</v>
      </c>
      <c r="P4" s="211" t="s">
        <v>135</v>
      </c>
      <c r="Q4" s="201" t="s">
        <v>222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216</v>
      </c>
      <c r="F5" s="216"/>
      <c r="G5" s="210"/>
      <c r="H5" s="178"/>
      <c r="I5" s="212"/>
      <c r="J5" s="199"/>
      <c r="K5" s="153"/>
      <c r="L5" s="164"/>
      <c r="M5" s="151" t="s">
        <v>220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157260.99000000002</v>
      </c>
      <c r="F8" s="22">
        <f>F10+F19+F33+F56+F68+F30</f>
        <v>116298.75</v>
      </c>
      <c r="G8" s="22">
        <f aca="true" t="shared" si="0" ref="G8:G30">F8-E8</f>
        <v>-40962.24000000002</v>
      </c>
      <c r="H8" s="51">
        <f>F8/E8*100</f>
        <v>73.95270117528828</v>
      </c>
      <c r="I8" s="36">
        <f aca="true" t="shared" si="1" ref="I8:I17">F8-D8</f>
        <v>-403030.55</v>
      </c>
      <c r="J8" s="36">
        <f aca="true" t="shared" si="2" ref="J8:J14">F8/D8*100</f>
        <v>22.394028220629956</v>
      </c>
      <c r="K8" s="36">
        <f>F8-151112.7</f>
        <v>-34813.95000000001</v>
      </c>
      <c r="L8" s="136">
        <f>F8/151112.7</f>
        <v>0.7696159885965904</v>
      </c>
      <c r="M8" s="22">
        <f>M10+M19+M33+M56+M68+M30</f>
        <v>42023.09</v>
      </c>
      <c r="N8" s="22">
        <f>N10+N19+N33+N56+N68+N30</f>
        <v>8689.739999999998</v>
      </c>
      <c r="O8" s="36">
        <f aca="true" t="shared" si="3" ref="O8:O71">N8-M8</f>
        <v>-33333.35</v>
      </c>
      <c r="P8" s="36">
        <f>F8/M8*100</f>
        <v>276.74963930543896</v>
      </c>
      <c r="Q8" s="36">
        <f>N8-40194.7</f>
        <v>-31504.96</v>
      </c>
      <c r="R8" s="134">
        <f>N8/40194.7</f>
        <v>0.21619118938566523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93838.31</v>
      </c>
      <c r="G9" s="22">
        <f t="shared" si="0"/>
        <v>93838.31</v>
      </c>
      <c r="H9" s="20"/>
      <c r="I9" s="56">
        <f t="shared" si="1"/>
        <v>-324527.89</v>
      </c>
      <c r="J9" s="56">
        <f t="shared" si="2"/>
        <v>22.429706319487565</v>
      </c>
      <c r="K9" s="56"/>
      <c r="L9" s="135"/>
      <c r="M9" s="20">
        <f>M10+M17</f>
        <v>35046.5</v>
      </c>
      <c r="N9" s="20">
        <f>N10+N17</f>
        <v>7791.699999999997</v>
      </c>
      <c r="O9" s="36">
        <f t="shared" si="3"/>
        <v>-27254.800000000003</v>
      </c>
      <c r="P9" s="56">
        <f>F9/M9*100</f>
        <v>267.7537271910176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128503.1</v>
      </c>
      <c r="F10" s="40">
        <v>93838.31</v>
      </c>
      <c r="G10" s="49">
        <f t="shared" si="0"/>
        <v>-34664.79000000001</v>
      </c>
      <c r="H10" s="40">
        <f aca="true" t="shared" si="4" ref="H10:H17">F10/E10*100</f>
        <v>73.02416050663368</v>
      </c>
      <c r="I10" s="56">
        <f t="shared" si="1"/>
        <v>-324527.89</v>
      </c>
      <c r="J10" s="56">
        <f t="shared" si="2"/>
        <v>22.429706319487565</v>
      </c>
      <c r="K10" s="141">
        <f>F10-117271.4</f>
        <v>-23433.089999999997</v>
      </c>
      <c r="L10" s="142">
        <f>F10/117271.4</f>
        <v>0.8001806919675215</v>
      </c>
      <c r="M10" s="40">
        <f>E10-березень!E10</f>
        <v>35046.5</v>
      </c>
      <c r="N10" s="40">
        <f>F10-березень!F10</f>
        <v>7791.699999999997</v>
      </c>
      <c r="O10" s="53">
        <f t="shared" si="3"/>
        <v>-27254.800000000003</v>
      </c>
      <c r="P10" s="56">
        <f aca="true" t="shared" si="5" ref="P10:P17">N10/M10*100</f>
        <v>22.232462585422216</v>
      </c>
      <c r="Q10" s="141">
        <f>N10-32056.3</f>
        <v>-24264.600000000002</v>
      </c>
      <c r="R10" s="142">
        <f>N10/32056.3</f>
        <v>0.24306298605890253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1239.6</v>
      </c>
      <c r="F19" s="40">
        <v>817.87</v>
      </c>
      <c r="G19" s="49">
        <f t="shared" si="0"/>
        <v>-421.7299999999999</v>
      </c>
      <c r="H19" s="40">
        <f aca="true" t="shared" si="6" ref="H19:H29">F19/E19*100</f>
        <v>65.97854146498872</v>
      </c>
      <c r="I19" s="56">
        <f aca="true" t="shared" si="7" ref="I19:I29">F19-D19</f>
        <v>-5182.13</v>
      </c>
      <c r="J19" s="56">
        <f aca="true" t="shared" si="8" ref="J19:J29">F19/D19*100</f>
        <v>13.631166666666667</v>
      </c>
      <c r="K19" s="56">
        <f>F19-4735.9</f>
        <v>-3918.0299999999997</v>
      </c>
      <c r="L19" s="135">
        <f>F19/4735.9</f>
        <v>0.17269579171857516</v>
      </c>
      <c r="M19" s="40">
        <f>E19-березень!E19</f>
        <v>11</v>
      </c>
      <c r="N19" s="40">
        <f>F19-березень!F19</f>
        <v>2.1900000000000546</v>
      </c>
      <c r="O19" s="53">
        <f t="shared" si="3"/>
        <v>-8.809999999999945</v>
      </c>
      <c r="P19" s="56">
        <f aca="true" t="shared" si="9" ref="P19:P29">N19/M19*100</f>
        <v>19.909090909091407</v>
      </c>
      <c r="Q19" s="56">
        <f>N19-450.5</f>
        <v>-448.30999999999995</v>
      </c>
      <c r="R19" s="135">
        <f>N19/450.5</f>
        <v>0.0048612652608214305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739.6</v>
      </c>
      <c r="F29" s="146">
        <v>751.16</v>
      </c>
      <c r="G29" s="49">
        <f t="shared" si="0"/>
        <v>11.559999999999945</v>
      </c>
      <c r="H29" s="40">
        <f t="shared" si="6"/>
        <v>101.56300703082746</v>
      </c>
      <c r="I29" s="56">
        <f t="shared" si="7"/>
        <v>-2248.84</v>
      </c>
      <c r="J29" s="56">
        <f t="shared" si="8"/>
        <v>25.038666666666664</v>
      </c>
      <c r="K29" s="148">
        <f>F29-1169.5</f>
        <v>-418.34000000000003</v>
      </c>
      <c r="L29" s="149">
        <f>F29/1169.5</f>
        <v>0.6422915775972637</v>
      </c>
      <c r="M29" s="40">
        <f>E29-березень!E29</f>
        <v>11</v>
      </c>
      <c r="N29" s="40">
        <f>F29-березень!F29</f>
        <v>0</v>
      </c>
      <c r="O29" s="148">
        <f t="shared" si="3"/>
        <v>-11</v>
      </c>
      <c r="P29" s="145">
        <f t="shared" si="9"/>
        <v>0</v>
      </c>
      <c r="Q29" s="148">
        <f>N29-438.2</f>
        <v>-438.2</v>
      </c>
      <c r="R29" s="149">
        <f>N29/438.2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v>25270.59</v>
      </c>
      <c r="F33" s="40">
        <v>19751.91</v>
      </c>
      <c r="G33" s="49">
        <f aca="true" t="shared" si="14" ref="G33:G72">F33-E33</f>
        <v>-5518.68</v>
      </c>
      <c r="H33" s="40">
        <f aca="true" t="shared" si="15" ref="H33:H67">F33/E33*100</f>
        <v>78.16164956971721</v>
      </c>
      <c r="I33" s="56">
        <f>F33-D33</f>
        <v>-68314.09</v>
      </c>
      <c r="J33" s="56">
        <f aca="true" t="shared" si="16" ref="J33:J72">F33/D33*100</f>
        <v>22.428530874571344</v>
      </c>
      <c r="K33" s="141">
        <f>F33-26928.2</f>
        <v>-7176.290000000001</v>
      </c>
      <c r="L33" s="142">
        <f>F33/26928.2</f>
        <v>0.7335027963250421</v>
      </c>
      <c r="M33" s="40">
        <f>E33-березень!E33</f>
        <v>6412.09</v>
      </c>
      <c r="N33" s="40">
        <f>F33-березень!F33</f>
        <v>662.6399999999994</v>
      </c>
      <c r="O33" s="53">
        <f t="shared" si="3"/>
        <v>-5749.450000000001</v>
      </c>
      <c r="P33" s="56">
        <f aca="true" t="shared" si="17" ref="P33:P67">N33/M33*100</f>
        <v>10.334227997423607</v>
      </c>
      <c r="Q33" s="141">
        <f>N33-7165.5</f>
        <v>-6502.860000000001</v>
      </c>
      <c r="R33" s="142">
        <f>N33/7165.5</f>
        <v>0.09247644965459485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v>18810.29</v>
      </c>
      <c r="F55" s="146">
        <v>14800.03</v>
      </c>
      <c r="G55" s="144">
        <f t="shared" si="14"/>
        <v>-4010.26</v>
      </c>
      <c r="H55" s="146">
        <f t="shared" si="15"/>
        <v>78.68049881208637</v>
      </c>
      <c r="I55" s="145">
        <f t="shared" si="18"/>
        <v>-51465.97</v>
      </c>
      <c r="J55" s="145">
        <f t="shared" si="16"/>
        <v>22.334273986659827</v>
      </c>
      <c r="K55" s="148">
        <f>F55-19428.9</f>
        <v>-4628.870000000001</v>
      </c>
      <c r="L55" s="149">
        <f>F55/19428.9</f>
        <v>0.7617533674062865</v>
      </c>
      <c r="M55" s="40">
        <f>E55-березень!E55</f>
        <v>4792.090000000002</v>
      </c>
      <c r="N55" s="40">
        <f>F55-березень!F55</f>
        <v>603.0200000000004</v>
      </c>
      <c r="O55" s="148">
        <f t="shared" si="3"/>
        <v>-4189.0700000000015</v>
      </c>
      <c r="P55" s="148">
        <f t="shared" si="17"/>
        <v>12.583653478962212</v>
      </c>
      <c r="Q55" s="218">
        <f>N55-4813.7</f>
        <v>-4210.679999999999</v>
      </c>
      <c r="R55" s="219">
        <f>N55/4813.7</f>
        <v>0.12527162058291968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1886.92</v>
      </c>
      <c r="G56" s="49">
        <f t="shared" si="14"/>
        <v>-351.17999999999984</v>
      </c>
      <c r="H56" s="40">
        <f t="shared" si="15"/>
        <v>84.30901210848488</v>
      </c>
      <c r="I56" s="56">
        <f t="shared" si="18"/>
        <v>-4973.08</v>
      </c>
      <c r="J56" s="56">
        <f t="shared" si="16"/>
        <v>27.506122448979593</v>
      </c>
      <c r="K56" s="56">
        <f>F56-2151.9</f>
        <v>-264.98</v>
      </c>
      <c r="L56" s="135">
        <f>F56/2151.9</f>
        <v>0.8768623077280543</v>
      </c>
      <c r="M56" s="40">
        <f>E56-березень!E56</f>
        <v>553</v>
      </c>
      <c r="N56" s="40">
        <f>F56-березень!F56</f>
        <v>233.21000000000004</v>
      </c>
      <c r="O56" s="53">
        <f t="shared" si="3"/>
        <v>-319.78999999999996</v>
      </c>
      <c r="P56" s="56">
        <f t="shared" si="17"/>
        <v>42.17179023508138</v>
      </c>
      <c r="Q56" s="56">
        <f>N56-522.5</f>
        <v>-289.28999999999996</v>
      </c>
      <c r="R56" s="135">
        <f>N56/522.5</f>
        <v>0.44633492822966514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3907.5</v>
      </c>
      <c r="F74" s="22">
        <f>F77+F86+F88+F89+F94+F95+F96+F97+F99+F103+F87</f>
        <v>4040.78</v>
      </c>
      <c r="G74" s="50">
        <f aca="true" t="shared" si="24" ref="G74:G92">F74-E74</f>
        <v>133.2800000000002</v>
      </c>
      <c r="H74" s="51">
        <f aca="true" t="shared" si="25" ref="H74:H87">F74/E74*100</f>
        <v>103.41087651951375</v>
      </c>
      <c r="I74" s="36">
        <f aca="true" t="shared" si="26" ref="I74:I92">F74-D74</f>
        <v>-13624.819999999998</v>
      </c>
      <c r="J74" s="36">
        <f aca="true" t="shared" si="27" ref="J74:J92">F74/D74*100</f>
        <v>22.87372067747487</v>
      </c>
      <c r="K74" s="36">
        <f>F74-5374.8</f>
        <v>-1334.02</v>
      </c>
      <c r="L74" s="136">
        <f>F74/5374.8</f>
        <v>0.7518009972464091</v>
      </c>
      <c r="M74" s="22">
        <f>M77+M86+M88+M89+M94+M95+M96+M97+M99+M87+M103</f>
        <v>1075.5</v>
      </c>
      <c r="N74" s="22">
        <f>N77+N86+N88+N89+N94+N95+N96+N97+N99+N32+N103+N87</f>
        <v>921.2300000000001</v>
      </c>
      <c r="O74" s="55">
        <f aca="true" t="shared" si="28" ref="O74:O92">N74-M74</f>
        <v>-154.26999999999987</v>
      </c>
      <c r="P74" s="36">
        <f>N74/M74*100</f>
        <v>85.65597396559741</v>
      </c>
      <c r="Q74" s="36">
        <f>N74-1526</f>
        <v>-604.7699999999999</v>
      </c>
      <c r="R74" s="136">
        <f>N74/1526</f>
        <v>0.603689384010485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-1678.13</v>
      </c>
      <c r="J77" s="56">
        <f t="shared" si="27"/>
        <v>1.286470588235294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E87-березень!E87</f>
        <v>0</v>
      </c>
      <c r="N87" s="40">
        <f>F87-березень!F87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27.04</v>
      </c>
      <c r="G89" s="49">
        <f t="shared" si="24"/>
        <v>-26.96</v>
      </c>
      <c r="H89" s="40">
        <f>F89/E89*100</f>
        <v>50.07407407407407</v>
      </c>
      <c r="I89" s="56">
        <f t="shared" si="26"/>
        <v>-147.96</v>
      </c>
      <c r="J89" s="56">
        <f t="shared" si="27"/>
        <v>15.451428571428572</v>
      </c>
      <c r="K89" s="56">
        <f>F89-66.3</f>
        <v>-39.26</v>
      </c>
      <c r="L89" s="135">
        <f>F89/66.3</f>
        <v>0.40784313725490196</v>
      </c>
      <c r="M89" s="40">
        <f>E89-березень!E89</f>
        <v>15</v>
      </c>
      <c r="N89" s="40">
        <f>F89-березень!F89</f>
        <v>0.2699999999999996</v>
      </c>
      <c r="O89" s="53">
        <f t="shared" si="28"/>
        <v>-14.73</v>
      </c>
      <c r="P89" s="56">
        <f>N89/M89*100</f>
        <v>1.7999999999999972</v>
      </c>
      <c r="Q89" s="56">
        <f>N89-18.8</f>
        <v>-18.53</v>
      </c>
      <c r="R89" s="135">
        <f>N89/18.8</f>
        <v>0.014361702127659552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2191.5</v>
      </c>
      <c r="F95" s="57">
        <v>2386.61</v>
      </c>
      <c r="G95" s="49">
        <f t="shared" si="31"/>
        <v>195.11000000000013</v>
      </c>
      <c r="H95" s="40">
        <f>F95/E95*100</f>
        <v>108.90303445128909</v>
      </c>
      <c r="I95" s="56">
        <f t="shared" si="32"/>
        <v>-3913.39</v>
      </c>
      <c r="J95" s="56">
        <f>F95/D95*100</f>
        <v>37.88269841269841</v>
      </c>
      <c r="K95" s="56">
        <f>F95-2269.2</f>
        <v>117.41000000000031</v>
      </c>
      <c r="L95" s="135">
        <f>F95/2269.2</f>
        <v>1.051740701568835</v>
      </c>
      <c r="M95" s="40">
        <f>E95-березень!E95</f>
        <v>515</v>
      </c>
      <c r="N95" s="40">
        <f>F95-березень!F95</f>
        <v>659.21</v>
      </c>
      <c r="O95" s="53">
        <f t="shared" si="33"/>
        <v>144.21000000000004</v>
      </c>
      <c r="P95" s="56">
        <f>N95/M95*100</f>
        <v>128.00194174757283</v>
      </c>
      <c r="Q95" s="56">
        <f>N95-790.5</f>
        <v>-131.28999999999996</v>
      </c>
      <c r="R95" s="135">
        <f>N95/790.5</f>
        <v>0.8339152435167616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223.1</v>
      </c>
      <c r="G96" s="49">
        <f t="shared" si="31"/>
        <v>-71.4</v>
      </c>
      <c r="H96" s="40">
        <f>F96/E96*100</f>
        <v>75.75551782682513</v>
      </c>
      <c r="I96" s="56">
        <f t="shared" si="32"/>
        <v>-976.9</v>
      </c>
      <c r="J96" s="56">
        <f>F96/D96*100</f>
        <v>18.59166666666667</v>
      </c>
      <c r="K96" s="56">
        <f>F96-305.5</f>
        <v>-82.4</v>
      </c>
      <c r="L96" s="135">
        <f>F96/305.5</f>
        <v>0.730278232405892</v>
      </c>
      <c r="M96" s="40">
        <f>E96-березень!E96</f>
        <v>70</v>
      </c>
      <c r="N96" s="40">
        <f>F96-березень!F96</f>
        <v>24.22999999999999</v>
      </c>
      <c r="O96" s="53">
        <f t="shared" si="33"/>
        <v>-45.77000000000001</v>
      </c>
      <c r="P96" s="56">
        <f>N96/M96*100</f>
        <v>34.6142857142857</v>
      </c>
      <c r="Q96" s="56">
        <f>N96-144</f>
        <v>-119.77000000000001</v>
      </c>
      <c r="R96" s="135">
        <f>N96/144</f>
        <v>0.16826388888888882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1047</v>
      </c>
      <c r="F99" s="57">
        <v>1153.41</v>
      </c>
      <c r="G99" s="49">
        <f t="shared" si="31"/>
        <v>106.41000000000008</v>
      </c>
      <c r="H99" s="40">
        <f>F99/E99*100</f>
        <v>110.16332378223497</v>
      </c>
      <c r="I99" s="56">
        <f t="shared" si="32"/>
        <v>-2726.59</v>
      </c>
      <c r="J99" s="56">
        <f>F99/D99*100</f>
        <v>29.727061855670105</v>
      </c>
      <c r="K99" s="56">
        <f>F99-994.9</f>
        <v>158.5100000000001</v>
      </c>
      <c r="L99" s="135">
        <f>F99/994.9</f>
        <v>1.1593225449793951</v>
      </c>
      <c r="M99" s="40">
        <f>E99-березень!E99</f>
        <v>270</v>
      </c>
      <c r="N99" s="40">
        <f>F99-березень!F99</f>
        <v>239.56000000000006</v>
      </c>
      <c r="O99" s="53">
        <f t="shared" si="33"/>
        <v>-30.43999999999994</v>
      </c>
      <c r="P99" s="56">
        <f>N99/M99*100</f>
        <v>88.72592592592595</v>
      </c>
      <c r="Q99" s="56">
        <f>N99-264.3</f>
        <v>-24.739999999999952</v>
      </c>
      <c r="R99" s="135">
        <f>N99/264.3</f>
        <v>0.9063942489595159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214.3</v>
      </c>
      <c r="G102" s="144"/>
      <c r="H102" s="146"/>
      <c r="I102" s="145"/>
      <c r="J102" s="145"/>
      <c r="K102" s="148">
        <f>F102-139.6</f>
        <v>74.70000000000002</v>
      </c>
      <c r="L102" s="149">
        <f>F102/139.6</f>
        <v>1.5351002865329515</v>
      </c>
      <c r="M102" s="40">
        <f>E102-березень!E102</f>
        <v>0</v>
      </c>
      <c r="N102" s="40">
        <f>F102-березень!F102</f>
        <v>40.400000000000006</v>
      </c>
      <c r="O102" s="53"/>
      <c r="P102" s="60"/>
      <c r="Q102" s="60">
        <f>N102-51</f>
        <v>-10.599999999999994</v>
      </c>
      <c r="R102" s="138">
        <f>N102/51</f>
        <v>0.7921568627450981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6.18</v>
      </c>
      <c r="G104" s="49">
        <f>F104-E104</f>
        <v>-3.0199999999999996</v>
      </c>
      <c r="H104" s="40"/>
      <c r="I104" s="56">
        <f t="shared" si="34"/>
        <v>-38.82</v>
      </c>
      <c r="J104" s="56">
        <f aca="true" t="shared" si="36" ref="J104:J109">F104/D104*100</f>
        <v>13.733333333333334</v>
      </c>
      <c r="K104" s="56">
        <f>F104-12.1</f>
        <v>-5.92</v>
      </c>
      <c r="L104" s="135">
        <f>F104/12.1</f>
        <v>0.5107438016528926</v>
      </c>
      <c r="M104" s="40">
        <f>E104-березень!E104</f>
        <v>2.999999999999999</v>
      </c>
      <c r="N104" s="40">
        <f>F104-березень!F104</f>
        <v>0.2699999999999996</v>
      </c>
      <c r="O104" s="53">
        <f t="shared" si="35"/>
        <v>-2.7299999999999995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161177.69000000003</v>
      </c>
      <c r="F106" s="22">
        <f>F8+F74+F104+F105</f>
        <v>120345.74999999999</v>
      </c>
      <c r="G106" s="50">
        <f>F106-E106</f>
        <v>-40831.940000000046</v>
      </c>
      <c r="H106" s="51">
        <f>F106/E106*100</f>
        <v>74.66650626398726</v>
      </c>
      <c r="I106" s="36">
        <f t="shared" si="34"/>
        <v>-416694.15</v>
      </c>
      <c r="J106" s="36">
        <f t="shared" si="36"/>
        <v>22.409089157062628</v>
      </c>
      <c r="K106" s="36">
        <f>F106-156502.1</f>
        <v>-36156.35000000002</v>
      </c>
      <c r="L106" s="136">
        <f>F106/156502.1</f>
        <v>0.7689721096394232</v>
      </c>
      <c r="M106" s="22">
        <f>M8+M74+M104+M105</f>
        <v>43101.59</v>
      </c>
      <c r="N106" s="22">
        <f>N8+N74+N104+N105</f>
        <v>9611.239999999998</v>
      </c>
      <c r="O106" s="55">
        <f t="shared" si="35"/>
        <v>-33490.35</v>
      </c>
      <c r="P106" s="36">
        <f>N106/M106*100</f>
        <v>22.299038156132983</v>
      </c>
      <c r="Q106" s="36">
        <f>N106-41720.7</f>
        <v>-32109.46</v>
      </c>
      <c r="R106" s="136">
        <f>N106/41720.7</f>
        <v>0.23037101486791925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128797.6</v>
      </c>
      <c r="F107" s="71">
        <f>F10-F18+F96</f>
        <v>94061.41</v>
      </c>
      <c r="G107" s="71">
        <f>G10-G18+G96</f>
        <v>-34736.19000000001</v>
      </c>
      <c r="H107" s="72">
        <f>F107/E107*100</f>
        <v>73.03040584607167</v>
      </c>
      <c r="I107" s="52">
        <f t="shared" si="34"/>
        <v>-325504.79000000004</v>
      </c>
      <c r="J107" s="52">
        <f t="shared" si="36"/>
        <v>22.418729154064366</v>
      </c>
      <c r="K107" s="52">
        <f>F107-117642.3</f>
        <v>-23580.89</v>
      </c>
      <c r="L107" s="137">
        <f>F107/117642.3</f>
        <v>0.799554326972526</v>
      </c>
      <c r="M107" s="71">
        <f>M10-M18+M96</f>
        <v>35116.5</v>
      </c>
      <c r="N107" s="71">
        <f>N10-N18+N96</f>
        <v>7815.929999999997</v>
      </c>
      <c r="O107" s="53">
        <f t="shared" si="35"/>
        <v>-27300.570000000003</v>
      </c>
      <c r="P107" s="52">
        <f>N107/M107*100</f>
        <v>22.257144077570363</v>
      </c>
      <c r="Q107" s="52">
        <f>N107-32216.7</f>
        <v>-24400.770000000004</v>
      </c>
      <c r="R107" s="137">
        <f>N107/32216.7</f>
        <v>0.24260492229185474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32380.090000000026</v>
      </c>
      <c r="F108" s="71">
        <f>F106-F107</f>
        <v>26284.339999999982</v>
      </c>
      <c r="G108" s="62">
        <f>F108-E108</f>
        <v>-6095.750000000044</v>
      </c>
      <c r="H108" s="72">
        <f>F108/E108*100</f>
        <v>81.17438833554806</v>
      </c>
      <c r="I108" s="52">
        <f t="shared" si="34"/>
        <v>-91189.36000000003</v>
      </c>
      <c r="J108" s="52">
        <f t="shared" si="36"/>
        <v>22.374659179033245</v>
      </c>
      <c r="K108" s="52">
        <f>F108-38859.8</f>
        <v>-12575.460000000021</v>
      </c>
      <c r="L108" s="137">
        <f>F108/38859.8</f>
        <v>0.6763889675191324</v>
      </c>
      <c r="M108" s="71">
        <f>M106-M107</f>
        <v>7985.0899999999965</v>
      </c>
      <c r="N108" s="71">
        <f>N106-N107</f>
        <v>1795.3100000000013</v>
      </c>
      <c r="O108" s="53">
        <f t="shared" si="35"/>
        <v>-6189.779999999995</v>
      </c>
      <c r="P108" s="52">
        <f>N108/M108*100</f>
        <v>22.483278209763473</v>
      </c>
      <c r="Q108" s="52">
        <f>N108-9504</f>
        <v>-7708.689999999999</v>
      </c>
      <c r="R108" s="137">
        <f>N108/9504</f>
        <v>0.1889004629629631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128797.6</v>
      </c>
      <c r="F109" s="71">
        <f>F107</f>
        <v>94061.41</v>
      </c>
      <c r="G109" s="111">
        <f>F109-E109</f>
        <v>-34736.19</v>
      </c>
      <c r="H109" s="72">
        <f>F109/E109*100</f>
        <v>73.03040584607167</v>
      </c>
      <c r="I109" s="81">
        <f t="shared" si="34"/>
        <v>-294151.79000000004</v>
      </c>
      <c r="J109" s="52">
        <f t="shared" si="36"/>
        <v>24.22931780784373</v>
      </c>
      <c r="K109" s="52"/>
      <c r="L109" s="137"/>
      <c r="M109" s="72">
        <f>E109-березень!E109</f>
        <v>35116.5</v>
      </c>
      <c r="N109" s="71">
        <f>N107</f>
        <v>7815.929999999997</v>
      </c>
      <c r="O109" s="118">
        <f t="shared" si="35"/>
        <v>-27300.570000000003</v>
      </c>
      <c r="P109" s="52">
        <f>N109/M109*100</f>
        <v>22.257144077570363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7435.62000000001</v>
      </c>
      <c r="F111" s="84">
        <v>0</v>
      </c>
      <c r="G111" s="62">
        <f>F111-E111</f>
        <v>-7435.62000000001</v>
      </c>
      <c r="H111" s="72"/>
      <c r="I111" s="85"/>
      <c r="J111" s="52"/>
      <c r="K111" s="52"/>
      <c r="L111" s="137"/>
      <c r="M111" s="217">
        <f>E111</f>
        <v>7435.62000000001</v>
      </c>
      <c r="N111" s="84">
        <v>0</v>
      </c>
      <c r="O111" s="118">
        <f>N111-M111</f>
        <v>-7435.62000000001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-1.22</v>
      </c>
      <c r="G113" s="49">
        <f aca="true" t="shared" si="37" ref="G113:G125">F113-E113</f>
        <v>-1.22</v>
      </c>
      <c r="H113" s="40"/>
      <c r="I113" s="60">
        <f aca="true" t="shared" si="38" ref="I113:I124">F113-D113</f>
        <v>-1.22</v>
      </c>
      <c r="J113" s="60"/>
      <c r="K113" s="60">
        <f>F113-6.7</f>
        <v>-7.92</v>
      </c>
      <c r="L113" s="138">
        <f>F113/6.7</f>
        <v>-0.18208955223880596</v>
      </c>
      <c r="M113" s="40">
        <f>E113-березень!E113</f>
        <v>0</v>
      </c>
      <c r="N113" s="40">
        <f>F113-березень!F113</f>
        <v>1.66</v>
      </c>
      <c r="O113" s="53"/>
      <c r="P113" s="60"/>
      <c r="Q113" s="60">
        <f>N113-2.1</f>
        <v>-0.44000000000000017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323.88</v>
      </c>
      <c r="G114" s="49">
        <f t="shared" si="37"/>
        <v>-718.2199999999999</v>
      </c>
      <c r="H114" s="40">
        <f aca="true" t="shared" si="39" ref="H114:H125">F114/E114*100</f>
        <v>31.07955090682276</v>
      </c>
      <c r="I114" s="60">
        <f t="shared" si="38"/>
        <v>-3347.62</v>
      </c>
      <c r="J114" s="60">
        <f aca="true" t="shared" si="40" ref="J114:J120">F114/D114*100</f>
        <v>8.821462617458804</v>
      </c>
      <c r="K114" s="60">
        <f>F114-1203.2</f>
        <v>-879.32</v>
      </c>
      <c r="L114" s="138">
        <f>F114/1203.2</f>
        <v>0.2691821808510638</v>
      </c>
      <c r="M114" s="40">
        <f>E114-березень!E114</f>
        <v>327.4999999999999</v>
      </c>
      <c r="N114" s="40">
        <f>F114-березень!F114</f>
        <v>40.23000000000002</v>
      </c>
      <c r="O114" s="53">
        <f aca="true" t="shared" si="41" ref="O114:O125">N114-M114</f>
        <v>-287.26999999999987</v>
      </c>
      <c r="P114" s="60">
        <f>N114/M114*100</f>
        <v>12.283969465648866</v>
      </c>
      <c r="Q114" s="60">
        <f>N114-368.9</f>
        <v>-328.66999999999996</v>
      </c>
      <c r="R114" s="138">
        <f>N114/368.9</f>
        <v>0.10905394415830855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84.3</v>
      </c>
      <c r="G115" s="49">
        <f t="shared" si="37"/>
        <v>-6.200000000000003</v>
      </c>
      <c r="H115" s="40">
        <f t="shared" si="39"/>
        <v>93.14917127071823</v>
      </c>
      <c r="I115" s="60">
        <f t="shared" si="38"/>
        <v>-183.8</v>
      </c>
      <c r="J115" s="60">
        <f t="shared" si="40"/>
        <v>31.443491234613948</v>
      </c>
      <c r="K115" s="60">
        <f>F115-84.2</f>
        <v>0.09999999999999432</v>
      </c>
      <c r="L115" s="138">
        <f>F115/84.2</f>
        <v>1.001187648456057</v>
      </c>
      <c r="M115" s="40">
        <f>E115-березень!E115</f>
        <v>22</v>
      </c>
      <c r="N115" s="40">
        <f>F115-березень!F115</f>
        <v>13.61</v>
      </c>
      <c r="O115" s="53">
        <f t="shared" si="41"/>
        <v>-8.39</v>
      </c>
      <c r="P115" s="60">
        <f>N115/M115*100</f>
        <v>61.86363636363637</v>
      </c>
      <c r="Q115" s="60">
        <f>N115-20.8</f>
        <v>-7.190000000000001</v>
      </c>
      <c r="R115" s="138">
        <f>N115/20.8</f>
        <v>0.654326923076923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406.96</v>
      </c>
      <c r="G116" s="62">
        <f t="shared" si="37"/>
        <v>-725.6399999999999</v>
      </c>
      <c r="H116" s="72">
        <f t="shared" si="39"/>
        <v>35.93148507858026</v>
      </c>
      <c r="I116" s="61">
        <f t="shared" si="38"/>
        <v>-3532.64</v>
      </c>
      <c r="J116" s="61">
        <f t="shared" si="40"/>
        <v>10.329982739364402</v>
      </c>
      <c r="K116" s="61">
        <f>F116-1294.2</f>
        <v>-887.24</v>
      </c>
      <c r="L116" s="139">
        <f>F116/1294.2</f>
        <v>0.31444908051305825</v>
      </c>
      <c r="M116" s="62">
        <f>M114+M115+M113</f>
        <v>349.4999999999999</v>
      </c>
      <c r="N116" s="38">
        <f>SUM(N113:N115)</f>
        <v>55.500000000000014</v>
      </c>
      <c r="O116" s="61">
        <f t="shared" si="41"/>
        <v>-293.9999999999999</v>
      </c>
      <c r="P116" s="61">
        <f>N116/M116*100</f>
        <v>15.879828326180267</v>
      </c>
      <c r="Q116" s="61">
        <f>N116-391.8</f>
        <v>-336.3</v>
      </c>
      <c r="R116" s="139">
        <f>N116/391.8</f>
        <v>0.14165390505359882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106.82</v>
      </c>
      <c r="G118" s="49">
        <f t="shared" si="37"/>
        <v>106.82</v>
      </c>
      <c r="H118" s="40" t="e">
        <f t="shared" si="39"/>
        <v>#DIV/0!</v>
      </c>
      <c r="I118" s="60">
        <f t="shared" si="38"/>
        <v>106.82</v>
      </c>
      <c r="J118" s="60" t="e">
        <f t="shared" si="40"/>
        <v>#DIV/0!</v>
      </c>
      <c r="K118" s="60">
        <f>F118-88.4</f>
        <v>18.419999999999987</v>
      </c>
      <c r="L118" s="138">
        <f>F118/88.4</f>
        <v>1.2083710407239818</v>
      </c>
      <c r="M118" s="40">
        <f>E118-березень!E118</f>
        <v>0</v>
      </c>
      <c r="N118" s="40">
        <f>F118-березень!F118</f>
        <v>5.349999999999994</v>
      </c>
      <c r="O118" s="53" t="s">
        <v>166</v>
      </c>
      <c r="P118" s="60"/>
      <c r="Q118" s="60">
        <f>N118-80.7</f>
        <v>-75.35000000000001</v>
      </c>
      <c r="R118" s="138">
        <f>N118/80.7</f>
        <v>0.06629491945477069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23812.6</v>
      </c>
      <c r="F119" s="33">
        <v>21505.24</v>
      </c>
      <c r="G119" s="49">
        <f t="shared" si="37"/>
        <v>-2307.359999999997</v>
      </c>
      <c r="H119" s="40">
        <f t="shared" si="39"/>
        <v>90.3103399040844</v>
      </c>
      <c r="I119" s="53">
        <f t="shared" si="38"/>
        <v>-4482.144999999997</v>
      </c>
      <c r="J119" s="60">
        <f t="shared" si="40"/>
        <v>82.75261246947319</v>
      </c>
      <c r="K119" s="60">
        <f>F119-23645.2</f>
        <v>-2139.959999999999</v>
      </c>
      <c r="L119" s="138">
        <f>F119/23645.2</f>
        <v>0.9094970649434135</v>
      </c>
      <c r="M119" s="40">
        <f>E119-березень!E119</f>
        <v>5200</v>
      </c>
      <c r="N119" s="40">
        <f>F119-березень!F119</f>
        <v>1810.2000000000007</v>
      </c>
      <c r="O119" s="53">
        <f t="shared" si="41"/>
        <v>-3389.7999999999993</v>
      </c>
      <c r="P119" s="60">
        <f aca="true" t="shared" si="42" ref="P119:P124">N119/M119*100</f>
        <v>34.811538461538476</v>
      </c>
      <c r="Q119" s="60">
        <f>N119-6401.1</f>
        <v>-4590.9</v>
      </c>
      <c r="R119" s="138">
        <f>N119/6401.1</f>
        <v>0.28279514458452465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658.88</v>
      </c>
      <c r="G120" s="49">
        <f t="shared" si="37"/>
        <v>658.88</v>
      </c>
      <c r="H120" s="40" t="e">
        <f t="shared" si="39"/>
        <v>#DIV/0!</v>
      </c>
      <c r="I120" s="60">
        <f t="shared" si="38"/>
        <v>658.88</v>
      </c>
      <c r="J120" s="60" t="e">
        <f t="shared" si="40"/>
        <v>#DIV/0!</v>
      </c>
      <c r="K120" s="60">
        <f>F120-436.1</f>
        <v>222.77999999999997</v>
      </c>
      <c r="L120" s="138">
        <f>F120/436.1</f>
        <v>1.5108461362072918</v>
      </c>
      <c r="M120" s="40">
        <f>E120-березень!E120</f>
        <v>0</v>
      </c>
      <c r="N120" s="40">
        <f>F120-березень!F120</f>
        <v>140.25</v>
      </c>
      <c r="O120" s="53">
        <f t="shared" si="41"/>
        <v>140.25</v>
      </c>
      <c r="P120" s="60" t="e">
        <f t="shared" si="42"/>
        <v>#DIV/0!</v>
      </c>
      <c r="Q120" s="60">
        <f>N120-155.6</f>
        <v>-15.349999999999994</v>
      </c>
      <c r="R120" s="138">
        <f>N120/155.6</f>
        <v>0.9013496143958869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1177.6</v>
      </c>
      <c r="G121" s="49">
        <f t="shared" si="37"/>
        <v>1177.6</v>
      </c>
      <c r="H121" s="40" t="e">
        <f t="shared" si="39"/>
        <v>#DIV/0!</v>
      </c>
      <c r="I121" s="60">
        <f t="shared" si="38"/>
        <v>1177.6</v>
      </c>
      <c r="J121" s="60" t="e">
        <f>F121/D121*100</f>
        <v>#DIV/0!</v>
      </c>
      <c r="K121" s="60">
        <f>F121-7276</f>
        <v>-6098.4</v>
      </c>
      <c r="L121" s="138">
        <f>F121/7276</f>
        <v>0.16184716877405167</v>
      </c>
      <c r="M121" s="40">
        <f>E121-березень!E121</f>
        <v>0</v>
      </c>
      <c r="N121" s="40">
        <f>F121-березень!F121</f>
        <v>33.63999999999987</v>
      </c>
      <c r="O121" s="53">
        <f t="shared" si="41"/>
        <v>33.63999999999987</v>
      </c>
      <c r="P121" s="60" t="e">
        <f t="shared" si="42"/>
        <v>#DIV/0!</v>
      </c>
      <c r="Q121" s="60">
        <f>N121-282.5</f>
        <v>-248.86000000000013</v>
      </c>
      <c r="R121" s="138">
        <f>N121/282.5</f>
        <v>0.11907964601769866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483.27</v>
      </c>
      <c r="G122" s="49">
        <f t="shared" si="37"/>
        <v>483.27</v>
      </c>
      <c r="H122" s="40" t="e">
        <f t="shared" si="39"/>
        <v>#DIV/0!</v>
      </c>
      <c r="I122" s="60">
        <f t="shared" si="38"/>
        <v>483.27</v>
      </c>
      <c r="J122" s="60" t="e">
        <f>F122/D122*100</f>
        <v>#DIV/0!</v>
      </c>
      <c r="K122" s="60">
        <f>F122-1170.5</f>
        <v>-687.23</v>
      </c>
      <c r="L122" s="138">
        <f>F122/1170.5</f>
        <v>0.41287483981204615</v>
      </c>
      <c r="M122" s="40">
        <f>E122-березень!E122</f>
        <v>0</v>
      </c>
      <c r="N122" s="40">
        <f>F122-березень!F122</f>
        <v>19.349999999999966</v>
      </c>
      <c r="O122" s="53">
        <f t="shared" si="41"/>
        <v>19.349999999999966</v>
      </c>
      <c r="P122" s="60" t="e">
        <f t="shared" si="42"/>
        <v>#DIV/0!</v>
      </c>
      <c r="Q122" s="60">
        <f>N122-856</f>
        <v>-836.6500000000001</v>
      </c>
      <c r="R122" s="138">
        <f>N122/865</f>
        <v>0.022369942196531753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23812.6</v>
      </c>
      <c r="F123" s="38">
        <f>F119+F120+F121+F122+F118</f>
        <v>23931.81</v>
      </c>
      <c r="G123" s="62">
        <f t="shared" si="37"/>
        <v>119.21000000000276</v>
      </c>
      <c r="H123" s="72">
        <f t="shared" si="39"/>
        <v>100.50061732024224</v>
      </c>
      <c r="I123" s="61">
        <f t="shared" si="38"/>
        <v>-2055.574999999997</v>
      </c>
      <c r="J123" s="61">
        <f>F123/D123*100</f>
        <v>92.09010448723487</v>
      </c>
      <c r="K123" s="61">
        <f>F123-32616.1</f>
        <v>-8684.289999999997</v>
      </c>
      <c r="L123" s="139">
        <f>F123/32616.1</f>
        <v>0.7337422315972787</v>
      </c>
      <c r="M123" s="62">
        <f>M119+M120+M121+M122+M118</f>
        <v>5200</v>
      </c>
      <c r="N123" s="62">
        <f>N119+N120+N121+N122+N118</f>
        <v>2008.7900000000004</v>
      </c>
      <c r="O123" s="61">
        <f t="shared" si="41"/>
        <v>-3191.2099999999996</v>
      </c>
      <c r="P123" s="61">
        <f t="shared" si="42"/>
        <v>38.63057692307693</v>
      </c>
      <c r="Q123" s="61">
        <f>N123-7775.9</f>
        <v>-5767.109999999999</v>
      </c>
      <c r="R123" s="139">
        <f>N123/7775.9</f>
        <v>0.2583353695392174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4.36</v>
      </c>
      <c r="G124" s="49">
        <f t="shared" si="37"/>
        <v>-6.8</v>
      </c>
      <c r="H124" s="40">
        <f t="shared" si="39"/>
        <v>39.06810035842294</v>
      </c>
      <c r="I124" s="60">
        <f t="shared" si="38"/>
        <v>-39.14</v>
      </c>
      <c r="J124" s="60">
        <f>F124/D124*100</f>
        <v>10.022988505747128</v>
      </c>
      <c r="K124" s="60">
        <f>F124-97.8</f>
        <v>-93.44</v>
      </c>
      <c r="L124" s="138">
        <f>F124/97.8</f>
        <v>0.04458077709611452</v>
      </c>
      <c r="M124" s="40">
        <f>E124-березень!E124</f>
        <v>3</v>
      </c>
      <c r="N124" s="40">
        <f>F124-березень!F124</f>
        <v>0</v>
      </c>
      <c r="O124" s="53">
        <f t="shared" si="41"/>
        <v>-3</v>
      </c>
      <c r="P124" s="60">
        <f>N124/M124*100</f>
        <v>0</v>
      </c>
      <c r="Q124" s="60">
        <f>N124-0.8</f>
        <v>-0.8</v>
      </c>
      <c r="R124" s="138">
        <f>N124/0.8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E126-березень!E126</f>
        <v>0</v>
      </c>
      <c r="N126" s="40">
        <f>F126-березень!F126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2605.8</v>
      </c>
      <c r="G127" s="49">
        <f aca="true" t="shared" si="43" ref="G127:G134">F127-E127</f>
        <v>96.30000000000018</v>
      </c>
      <c r="H127" s="40">
        <f>F127/E127*100</f>
        <v>103.83741781231322</v>
      </c>
      <c r="I127" s="60">
        <f aca="true" t="shared" si="44" ref="I127:I134">F127-D127</f>
        <v>-6094.2</v>
      </c>
      <c r="J127" s="60">
        <f>F127/D127*100</f>
        <v>29.951724137931034</v>
      </c>
      <c r="K127" s="60">
        <f>F127-2832.5</f>
        <v>-226.69999999999982</v>
      </c>
      <c r="L127" s="138">
        <f>F127/2832.5</f>
        <v>0.9199646954986761</v>
      </c>
      <c r="M127" s="40">
        <f>E127-березень!E127</f>
        <v>2</v>
      </c>
      <c r="N127" s="40">
        <f>F127-березень!F127</f>
        <v>2.050000000000182</v>
      </c>
      <c r="O127" s="53">
        <f aca="true" t="shared" si="45" ref="O127:O134">N127-M127</f>
        <v>0.0500000000001819</v>
      </c>
      <c r="P127" s="60">
        <f>N127/M127*100</f>
        <v>102.5000000000091</v>
      </c>
      <c r="Q127" s="60">
        <f>N127-392.9</f>
        <v>-390.8499999999998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-0.35</v>
      </c>
      <c r="G128" s="49">
        <f t="shared" si="43"/>
        <v>-0.35</v>
      </c>
      <c r="H128" s="40"/>
      <c r="I128" s="60">
        <f t="shared" si="44"/>
        <v>-0.35</v>
      </c>
      <c r="J128" s="60"/>
      <c r="K128" s="60">
        <f>F128-(-0.6)</f>
        <v>0.25</v>
      </c>
      <c r="L128" s="138">
        <f>F128/(-0.6)</f>
        <v>0.5833333333333334</v>
      </c>
      <c r="M128" s="40">
        <f>E128-березень!E128</f>
        <v>0</v>
      </c>
      <c r="N128" s="40">
        <f>F128-березень!F128</f>
        <v>0.010000000000000009</v>
      </c>
      <c r="O128" s="53">
        <f t="shared" si="45"/>
        <v>0.010000000000000009</v>
      </c>
      <c r="P128" s="60"/>
      <c r="Q128" s="60">
        <f>N128-0.2</f>
        <v>-0.19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2618.5700000000006</v>
      </c>
      <c r="G129" s="62">
        <f t="shared" si="43"/>
        <v>90.71000000000095</v>
      </c>
      <c r="H129" s="72">
        <f>F129/E129*100</f>
        <v>103.5884107505954</v>
      </c>
      <c r="I129" s="61">
        <f t="shared" si="44"/>
        <v>-6132.13</v>
      </c>
      <c r="J129" s="61">
        <f>F129/D129*100</f>
        <v>29.924120356085805</v>
      </c>
      <c r="K129" s="61">
        <f>F129-2938.1</f>
        <v>-319.5299999999993</v>
      </c>
      <c r="L129" s="139">
        <f>G129/2938.1</f>
        <v>0.03087369388380278</v>
      </c>
      <c r="M129" s="62">
        <f>M124+M127+M128+M126</f>
        <v>5</v>
      </c>
      <c r="N129" s="62">
        <f>N124+N127+N128+N126</f>
        <v>2.0600000000001817</v>
      </c>
      <c r="O129" s="61">
        <f t="shared" si="45"/>
        <v>-2.9399999999998183</v>
      </c>
      <c r="P129" s="61">
        <f>N129/M129*100</f>
        <v>41.200000000003634</v>
      </c>
      <c r="Q129" s="61">
        <f>N129-393.8</f>
        <v>-391.73999999999984</v>
      </c>
      <c r="R129" s="137">
        <f>N129/393.8</f>
        <v>0.0052310817673950774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10.97</v>
      </c>
      <c r="G130" s="49">
        <f>F130-E130</f>
        <v>2.7200000000000006</v>
      </c>
      <c r="H130" s="40">
        <f>F130/E130*100</f>
        <v>132.96969696969697</v>
      </c>
      <c r="I130" s="60">
        <f>F130-D130</f>
        <v>-19.03</v>
      </c>
      <c r="J130" s="60">
        <f>F130/D130*100</f>
        <v>36.56666666666667</v>
      </c>
      <c r="K130" s="60">
        <f>F130-8.8</f>
        <v>2.17</v>
      </c>
      <c r="L130" s="138">
        <f>F130/8.8</f>
        <v>1.246590909090909</v>
      </c>
      <c r="M130" s="40">
        <f>E130-березень!E130</f>
        <v>0.40000000000000036</v>
      </c>
      <c r="N130" s="40">
        <f>F130-березень!F130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27481.309999999998</v>
      </c>
      <c r="F133" s="31">
        <f>F116+F130+F123+F129+F132+F131</f>
        <v>26968.31</v>
      </c>
      <c r="G133" s="50">
        <f t="shared" si="43"/>
        <v>-512.9999999999964</v>
      </c>
      <c r="H133" s="51">
        <f>F133/E133*100</f>
        <v>98.13327676155177</v>
      </c>
      <c r="I133" s="36">
        <f t="shared" si="44"/>
        <v>-11739.374999999996</v>
      </c>
      <c r="J133" s="36">
        <f>F133/D133*100</f>
        <v>69.67172022816659</v>
      </c>
      <c r="K133" s="36">
        <f>F133-36860.1</f>
        <v>-9891.789999999997</v>
      </c>
      <c r="L133" s="136">
        <f>F133/36860.1</f>
        <v>0.7316396320140206</v>
      </c>
      <c r="M133" s="31">
        <f>M116+M130+M123+M129+M132+M131</f>
        <v>5554.9</v>
      </c>
      <c r="N133" s="31">
        <f>N116+N130+N123+N129+N132+N131</f>
        <v>2066.350000000001</v>
      </c>
      <c r="O133" s="36">
        <f t="shared" si="45"/>
        <v>-3488.549999999999</v>
      </c>
      <c r="P133" s="36">
        <f>N133/M133*100</f>
        <v>37.198689445354574</v>
      </c>
      <c r="Q133" s="36">
        <f>N133-8565.9</f>
        <v>-6499.549999999999</v>
      </c>
      <c r="R133" s="136">
        <f>N133/8564.9</f>
        <v>0.24125792478604546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188659.00000000003</v>
      </c>
      <c r="F134" s="31">
        <f>F106+F133</f>
        <v>147314.06</v>
      </c>
      <c r="G134" s="50">
        <f t="shared" si="43"/>
        <v>-41344.94000000003</v>
      </c>
      <c r="H134" s="51">
        <f>F134/E134*100</f>
        <v>78.08483030229142</v>
      </c>
      <c r="I134" s="36">
        <f t="shared" si="44"/>
        <v>-428433.52499999997</v>
      </c>
      <c r="J134" s="36">
        <f>F134/D134*100</f>
        <v>25.586570198119023</v>
      </c>
      <c r="K134" s="36">
        <f>F134-193362.2</f>
        <v>-46048.140000000014</v>
      </c>
      <c r="L134" s="136">
        <f>F134/193362.2</f>
        <v>0.7618555229512283</v>
      </c>
      <c r="M134" s="22">
        <f>M106+M133</f>
        <v>48656.49</v>
      </c>
      <c r="N134" s="22">
        <f>N106+N133</f>
        <v>11677.589999999998</v>
      </c>
      <c r="O134" s="36">
        <f t="shared" si="45"/>
        <v>-36978.9</v>
      </c>
      <c r="P134" s="36">
        <f>N134/M134*100</f>
        <v>24.000066589266915</v>
      </c>
      <c r="Q134" s="36">
        <f>N134-50285.6</f>
        <v>-38608.01</v>
      </c>
      <c r="R134" s="136">
        <f>N134/50285.6</f>
        <v>0.23222532892120207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13</v>
      </c>
      <c r="D136" s="4" t="s">
        <v>118</v>
      </c>
    </row>
    <row r="137" spans="2:17" ht="31.5">
      <c r="B137" s="78" t="s">
        <v>154</v>
      </c>
      <c r="C137" s="39">
        <f>IF(O106&lt;0,ABS(O106/C136),0)</f>
        <v>2576.1807692307693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41739</v>
      </c>
      <c r="D138" s="39">
        <v>1067.4</v>
      </c>
      <c r="N138" s="152"/>
      <c r="O138" s="152"/>
    </row>
    <row r="139" spans="3:15" ht="15.75">
      <c r="C139" s="120">
        <v>41738</v>
      </c>
      <c r="D139" s="39">
        <v>793.4</v>
      </c>
      <c r="F139" s="4" t="s">
        <v>166</v>
      </c>
      <c r="G139" s="160" t="s">
        <v>151</v>
      </c>
      <c r="H139" s="160"/>
      <c r="I139" s="115">
        <f>'[1]залишки  (2)'!$G$9/1000</f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41737</v>
      </c>
      <c r="D140" s="39">
        <v>531.5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f>'[1]залишки  (2)'!$G$6/1000</f>
        <v>116993.82479000001</v>
      </c>
      <c r="E142" s="80"/>
      <c r="F142" s="100" t="s">
        <v>147</v>
      </c>
      <c r="G142" s="160" t="s">
        <v>149</v>
      </c>
      <c r="H142" s="160"/>
      <c r="I142" s="116">
        <f>'[1]залишки  (2)'!$G$10/1000</f>
        <v>103168.60283000002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G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79" t="s">
        <v>212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204" t="s">
        <v>208</v>
      </c>
      <c r="E3" s="204"/>
      <c r="F3" s="205" t="s">
        <v>107</v>
      </c>
      <c r="G3" s="206"/>
      <c r="H3" s="206"/>
      <c r="I3" s="206"/>
      <c r="J3" s="206"/>
      <c r="K3" s="206"/>
      <c r="L3" s="207"/>
      <c r="M3" s="213" t="s">
        <v>210</v>
      </c>
      <c r="N3" s="208" t="s">
        <v>198</v>
      </c>
      <c r="O3" s="208"/>
      <c r="P3" s="208"/>
      <c r="Q3" s="208"/>
      <c r="R3" s="208"/>
    </row>
    <row r="4" spans="1:18" ht="22.5" customHeight="1">
      <c r="A4" s="181"/>
      <c r="B4" s="183"/>
      <c r="C4" s="184"/>
      <c r="D4" s="204"/>
      <c r="E4" s="204"/>
      <c r="F4" s="215" t="s">
        <v>116</v>
      </c>
      <c r="G4" s="209" t="s">
        <v>207</v>
      </c>
      <c r="H4" s="177" t="s">
        <v>195</v>
      </c>
      <c r="I4" s="211" t="s">
        <v>188</v>
      </c>
      <c r="J4" s="197" t="s">
        <v>189</v>
      </c>
      <c r="K4" s="201" t="s">
        <v>196</v>
      </c>
      <c r="L4" s="202"/>
      <c r="M4" s="214"/>
      <c r="N4" s="168" t="s">
        <v>213</v>
      </c>
      <c r="O4" s="211" t="s">
        <v>136</v>
      </c>
      <c r="P4" s="211" t="s">
        <v>135</v>
      </c>
      <c r="Q4" s="201" t="s">
        <v>197</v>
      </c>
      <c r="R4" s="202"/>
    </row>
    <row r="5" spans="1:18" ht="82.5" customHeight="1">
      <c r="A5" s="182"/>
      <c r="B5" s="183"/>
      <c r="C5" s="184"/>
      <c r="D5" s="150" t="s">
        <v>209</v>
      </c>
      <c r="E5" s="203" t="s">
        <v>214</v>
      </c>
      <c r="F5" s="216"/>
      <c r="G5" s="210"/>
      <c r="H5" s="178"/>
      <c r="I5" s="212"/>
      <c r="J5" s="199"/>
      <c r="K5" s="153"/>
      <c r="L5" s="164"/>
      <c r="M5" s="151" t="s">
        <v>211</v>
      </c>
      <c r="N5" s="169"/>
      <c r="O5" s="212"/>
      <c r="P5" s="212"/>
      <c r="Q5" s="153"/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9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94">
        <f>N55-4813.8</f>
        <v>-96.90000000000055</v>
      </c>
      <c r="R55" s="19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6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173.9</v>
      </c>
      <c r="G102" s="144"/>
      <c r="H102" s="146"/>
      <c r="I102" s="145"/>
      <c r="J102" s="145"/>
      <c r="K102" s="148">
        <f>F102-88.6</f>
        <v>85.30000000000001</v>
      </c>
      <c r="L102" s="149">
        <f>F102/88.6</f>
        <v>1.9627539503386007</v>
      </c>
      <c r="M102" s="40">
        <f>E102-лютий!E102</f>
        <v>0</v>
      </c>
      <c r="N102" s="40">
        <f>F102-лютий!F102</f>
        <v>43.80000000000001</v>
      </c>
      <c r="O102" s="53"/>
      <c r="P102" s="60"/>
      <c r="Q102" s="60">
        <f>N102-31.4</f>
        <v>12.400000000000013</v>
      </c>
      <c r="R102" s="135">
        <f>N102/31.4</f>
        <v>1.3949044585987265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93681.1</v>
      </c>
      <c r="F109" s="71">
        <f>F107</f>
        <v>86245.48</v>
      </c>
      <c r="G109" s="111">
        <f>F109-E109</f>
        <v>-7435.62000000001</v>
      </c>
      <c r="H109" s="72">
        <f>F109/E109*100</f>
        <v>92.06283871560004</v>
      </c>
      <c r="I109" s="81">
        <f t="shared" si="34"/>
        <v>-333320.72000000003</v>
      </c>
      <c r="J109" s="52">
        <f t="shared" si="36"/>
        <v>20.55586937174634</v>
      </c>
      <c r="K109" s="52"/>
      <c r="L109" s="137"/>
      <c r="M109" s="122">
        <f>E109-лютий!E109</f>
        <v>33666.40000000001</v>
      </c>
      <c r="N109" s="71">
        <f>N107</f>
        <v>31372.950000000004</v>
      </c>
      <c r="O109" s="118">
        <f t="shared" si="35"/>
        <v>-2293.4500000000044</v>
      </c>
      <c r="P109" s="52">
        <f>N109/M109*100</f>
        <v>93.18771831856093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5142.169999999998</v>
      </c>
      <c r="F111" s="84">
        <v>0</v>
      </c>
      <c r="G111" s="62">
        <f>F111-E111</f>
        <v>-5142.169999999998</v>
      </c>
      <c r="H111" s="72"/>
      <c r="I111" s="85"/>
      <c r="J111" s="52"/>
      <c r="K111" s="52"/>
      <c r="L111" s="137"/>
      <c r="M111" s="217">
        <f>E111</f>
        <v>5142.169999999998</v>
      </c>
      <c r="N111" s="84">
        <v>0</v>
      </c>
      <c r="O111" s="118">
        <f>N111-M111</f>
        <v>-5142.169999999998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>N124/M124*100</f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52"/>
      <c r="O138" s="152"/>
    </row>
    <row r="139" spans="3:15" ht="15.75">
      <c r="C139" s="120">
        <v>41726</v>
      </c>
      <c r="D139" s="39">
        <v>4682.6</v>
      </c>
      <c r="F139" s="4" t="s">
        <v>166</v>
      </c>
      <c r="G139" s="160" t="s">
        <v>151</v>
      </c>
      <c r="H139" s="160"/>
      <c r="I139" s="115">
        <v>13825.22196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41725</v>
      </c>
      <c r="D140" s="39">
        <v>3360.7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114985.02570999999</v>
      </c>
      <c r="E142" s="80"/>
      <c r="F142" s="100" t="s">
        <v>147</v>
      </c>
      <c r="G142" s="160" t="s">
        <v>149</v>
      </c>
      <c r="H142" s="160"/>
      <c r="I142" s="116">
        <v>101159.80375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3918.1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8">
    <mergeCell ref="N147:O147"/>
    <mergeCell ref="N3:R3"/>
    <mergeCell ref="K4:L5"/>
    <mergeCell ref="F3:L3"/>
    <mergeCell ref="Q4:R5"/>
    <mergeCell ref="D3:E4"/>
    <mergeCell ref="M3:M4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F4:F5"/>
    <mergeCell ref="G4:G5"/>
    <mergeCell ref="H4:H5"/>
    <mergeCell ref="I4:I5"/>
    <mergeCell ref="A1:P1"/>
    <mergeCell ref="B2:D2"/>
    <mergeCell ref="A3:A5"/>
    <mergeCell ref="B3:B5"/>
    <mergeCell ref="C3:C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2" sqref="M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79" t="s">
        <v>193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187</v>
      </c>
      <c r="E3" s="46"/>
      <c r="F3" s="186" t="s">
        <v>107</v>
      </c>
      <c r="G3" s="187"/>
      <c r="H3" s="187"/>
      <c r="I3" s="187"/>
      <c r="J3" s="188"/>
      <c r="K3" s="123"/>
      <c r="L3" s="123"/>
      <c r="M3" s="189" t="s">
        <v>190</v>
      </c>
      <c r="N3" s="172" t="s">
        <v>185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191</v>
      </c>
      <c r="F4" s="173" t="s">
        <v>116</v>
      </c>
      <c r="G4" s="175" t="s">
        <v>167</v>
      </c>
      <c r="H4" s="177" t="s">
        <v>168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89"/>
      <c r="N4" s="168" t="s">
        <v>194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184</v>
      </c>
      <c r="L5" s="164"/>
      <c r="M5" s="189"/>
      <c r="N5" s="169"/>
      <c r="O5" s="171"/>
      <c r="P5" s="172"/>
      <c r="Q5" s="153" t="s">
        <v>199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94">
        <f>N55-4413.4</f>
        <v>378.8000000000011</v>
      </c>
      <c r="R55" s="19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9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9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9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f>28713.4+31301.3</f>
        <v>60014.7</v>
      </c>
      <c r="F109" s="71">
        <f>F107</f>
        <v>54872.53</v>
      </c>
      <c r="G109" s="111">
        <f>F109-E109</f>
        <v>-5142.169999999998</v>
      </c>
      <c r="H109" s="72">
        <f>F109/E109*100</f>
        <v>91.43181587177808</v>
      </c>
      <c r="I109" s="81">
        <f t="shared" si="34"/>
        <v>-364693.67000000004</v>
      </c>
      <c r="J109" s="52">
        <f t="shared" si="36"/>
        <v>13.078396210180895</v>
      </c>
      <c r="K109" s="52"/>
      <c r="L109" s="137"/>
      <c r="M109" s="122">
        <f>E109-'січень '!E109</f>
        <v>31301.299999999996</v>
      </c>
      <c r="N109" s="71">
        <f>N107</f>
        <v>28224.909999999996</v>
      </c>
      <c r="O109" s="118">
        <f t="shared" si="35"/>
        <v>-3076.3899999999994</v>
      </c>
      <c r="P109" s="52">
        <f>N109/M109*100</f>
        <v>90.17168615999974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217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52"/>
      <c r="O138" s="152"/>
    </row>
    <row r="139" spans="3:15" ht="15.75">
      <c r="C139" s="120">
        <v>41697</v>
      </c>
      <c r="D139" s="39">
        <v>2276.8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41696</v>
      </c>
      <c r="D140" s="39">
        <v>3746.1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f>'[1]залишки  (2)'!$G$8/1000</f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121970.53</v>
      </c>
      <c r="E142" s="80"/>
      <c r="F142" s="100" t="s">
        <v>147</v>
      </c>
      <c r="G142" s="160" t="s">
        <v>149</v>
      </c>
      <c r="H142" s="160"/>
      <c r="I142" s="116">
        <v>108145.31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87" sqref="D8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79" t="s">
        <v>183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26"/>
      <c r="R1" s="127"/>
    </row>
    <row r="2" spans="2:18" s="1" customFormat="1" ht="15.75" customHeight="1">
      <c r="B2" s="180"/>
      <c r="C2" s="180"/>
      <c r="D2" s="18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1"/>
      <c r="B3" s="183"/>
      <c r="C3" s="184" t="s">
        <v>0</v>
      </c>
      <c r="D3" s="185" t="s">
        <v>192</v>
      </c>
      <c r="E3" s="46"/>
      <c r="F3" s="186" t="s">
        <v>107</v>
      </c>
      <c r="G3" s="187"/>
      <c r="H3" s="187"/>
      <c r="I3" s="187"/>
      <c r="J3" s="188"/>
      <c r="K3" s="123"/>
      <c r="L3" s="123"/>
      <c r="M3" s="197" t="s">
        <v>200</v>
      </c>
      <c r="N3" s="172" t="s">
        <v>178</v>
      </c>
      <c r="O3" s="172"/>
      <c r="P3" s="172"/>
      <c r="Q3" s="172"/>
      <c r="R3" s="172"/>
    </row>
    <row r="4" spans="1:18" ht="22.5" customHeight="1">
      <c r="A4" s="181"/>
      <c r="B4" s="183"/>
      <c r="C4" s="184"/>
      <c r="D4" s="185"/>
      <c r="E4" s="190" t="s">
        <v>153</v>
      </c>
      <c r="F4" s="173" t="s">
        <v>116</v>
      </c>
      <c r="G4" s="175" t="s">
        <v>175</v>
      </c>
      <c r="H4" s="177" t="s">
        <v>176</v>
      </c>
      <c r="I4" s="170" t="s">
        <v>188</v>
      </c>
      <c r="J4" s="166" t="s">
        <v>189</v>
      </c>
      <c r="K4" s="125" t="s">
        <v>174</v>
      </c>
      <c r="L4" s="130" t="s">
        <v>173</v>
      </c>
      <c r="M4" s="198"/>
      <c r="N4" s="168" t="s">
        <v>186</v>
      </c>
      <c r="O4" s="170" t="s">
        <v>136</v>
      </c>
      <c r="P4" s="172" t="s">
        <v>135</v>
      </c>
      <c r="Q4" s="131" t="s">
        <v>174</v>
      </c>
      <c r="R4" s="132" t="s">
        <v>173</v>
      </c>
    </row>
    <row r="5" spans="1:18" ht="82.5" customHeight="1">
      <c r="A5" s="182"/>
      <c r="B5" s="183"/>
      <c r="C5" s="184"/>
      <c r="D5" s="185"/>
      <c r="E5" s="191"/>
      <c r="F5" s="174"/>
      <c r="G5" s="176"/>
      <c r="H5" s="178"/>
      <c r="I5" s="171"/>
      <c r="J5" s="167"/>
      <c r="K5" s="153" t="s">
        <v>177</v>
      </c>
      <c r="L5" s="164"/>
      <c r="M5" s="199"/>
      <c r="N5" s="169"/>
      <c r="O5" s="171"/>
      <c r="P5" s="172"/>
      <c r="Q5" s="153" t="s">
        <v>179</v>
      </c>
      <c r="R5" s="164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200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9">N20-194.7</f>
        <v>-194.7</v>
      </c>
      <c r="R20" s="135">
        <f aca="true" t="shared" si="15" ref="R20:R29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9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5">N34-6172.8</f>
        <v>-6172.8</v>
      </c>
      <c r="R34" s="142">
        <f aca="true" t="shared" si="24" ref="R34:R55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94">
        <f>N55-4574.2</f>
        <v>113.71000000000004</v>
      </c>
      <c r="R55" s="19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419566.2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-392918.58</v>
      </c>
      <c r="J109" s="52">
        <f t="shared" si="46"/>
        <v>6.351231343230222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5"/>
      <c r="H137" s="165"/>
      <c r="I137" s="165"/>
      <c r="J137" s="165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52"/>
      <c r="O138" s="152"/>
    </row>
    <row r="139" spans="3:15" ht="15.75">
      <c r="C139" s="120">
        <v>41669</v>
      </c>
      <c r="D139" s="39">
        <v>4752.2</v>
      </c>
      <c r="F139" s="4" t="s">
        <v>166</v>
      </c>
      <c r="G139" s="160" t="s">
        <v>151</v>
      </c>
      <c r="H139" s="160"/>
      <c r="I139" s="115">
        <v>13825.22</v>
      </c>
      <c r="J139" s="161" t="s">
        <v>161</v>
      </c>
      <c r="K139" s="161"/>
      <c r="L139" s="161"/>
      <c r="M139" s="161"/>
      <c r="N139" s="152"/>
      <c r="O139" s="152"/>
    </row>
    <row r="140" spans="3:15" ht="15.75">
      <c r="C140" s="120">
        <v>41668</v>
      </c>
      <c r="D140" s="39">
        <v>1984.7</v>
      </c>
      <c r="G140" s="162" t="s">
        <v>155</v>
      </c>
      <c r="H140" s="162"/>
      <c r="I140" s="112">
        <v>0</v>
      </c>
      <c r="J140" s="163" t="s">
        <v>162</v>
      </c>
      <c r="K140" s="163"/>
      <c r="L140" s="163"/>
      <c r="M140" s="163"/>
      <c r="N140" s="152"/>
      <c r="O140" s="152"/>
    </row>
    <row r="141" spans="7:13" ht="15.75" customHeight="1">
      <c r="G141" s="160" t="s">
        <v>148</v>
      </c>
      <c r="H141" s="160"/>
      <c r="I141" s="112">
        <v>0</v>
      </c>
      <c r="J141" s="161" t="s">
        <v>163</v>
      </c>
      <c r="K141" s="161"/>
      <c r="L141" s="161"/>
      <c r="M141" s="161"/>
    </row>
    <row r="142" spans="2:13" ht="18.75" customHeight="1">
      <c r="B142" s="158" t="s">
        <v>160</v>
      </c>
      <c r="C142" s="159"/>
      <c r="D142" s="117">
        <v>111410.62</v>
      </c>
      <c r="E142" s="80"/>
      <c r="F142" s="100" t="s">
        <v>147</v>
      </c>
      <c r="G142" s="160" t="s">
        <v>149</v>
      </c>
      <c r="H142" s="160"/>
      <c r="I142" s="116">
        <v>97585.4</v>
      </c>
      <c r="J142" s="161" t="s">
        <v>164</v>
      </c>
      <c r="K142" s="161"/>
      <c r="L142" s="161"/>
      <c r="M142" s="161"/>
    </row>
    <row r="143" spans="7:12" ht="9.75" customHeight="1">
      <c r="G143" s="154"/>
      <c r="H143" s="154"/>
      <c r="I143" s="98"/>
      <c r="J143" s="99"/>
      <c r="K143" s="99"/>
      <c r="L143" s="99"/>
    </row>
    <row r="144" spans="2:12" ht="22.5" customHeight="1">
      <c r="B144" s="155" t="s">
        <v>169</v>
      </c>
      <c r="C144" s="156"/>
      <c r="D144" s="119">
        <v>0</v>
      </c>
      <c r="E144" s="77" t="s">
        <v>104</v>
      </c>
      <c r="G144" s="154"/>
      <c r="H144" s="154"/>
      <c r="I144" s="98"/>
      <c r="J144" s="99"/>
      <c r="K144" s="99"/>
      <c r="L144" s="99"/>
    </row>
    <row r="145" spans="4:15" ht="15.75">
      <c r="D145" s="114"/>
      <c r="N145" s="154"/>
      <c r="O145" s="154"/>
    </row>
    <row r="146" spans="4:15" ht="15.75">
      <c r="D146" s="113"/>
      <c r="I146" s="39"/>
      <c r="N146" s="157"/>
      <c r="O146" s="157"/>
    </row>
    <row r="147" spans="14:15" ht="15.75">
      <c r="N147" s="154"/>
      <c r="O147" s="15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2014-04-11T10:32:36Z</cp:lastPrinted>
  <dcterms:created xsi:type="dcterms:W3CDTF">2003-07-28T11:27:56Z</dcterms:created>
  <dcterms:modified xsi:type="dcterms:W3CDTF">2014-04-11T10:38:05Z</dcterms:modified>
  <cp:category/>
  <cp:version/>
  <cp:contentType/>
  <cp:contentStatus/>
</cp:coreProperties>
</file>